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<sst xmlns="http://schemas.openxmlformats.org/spreadsheetml/2006/main" count="28" uniqueCount="28">
  <si>
    <t>附件2</t>
  </si>
  <si>
    <t>荆州市2022年度市直机关（单位）公开遴选补录考察体检人员名单</t>
  </si>
  <si>
    <t>遴选机关</t>
  </si>
  <si>
    <t>岗位代码</t>
  </si>
  <si>
    <t>招录人数</t>
  </si>
  <si>
    <t>准考证号</t>
  </si>
  <si>
    <t>考生姓名</t>
  </si>
  <si>
    <t>笔试成绩</t>
  </si>
  <si>
    <t>面试成绩</t>
  </si>
  <si>
    <t>综合成绩</t>
  </si>
  <si>
    <t>排序</t>
  </si>
  <si>
    <t>荆州市信访局</t>
  </si>
  <si>
    <t>荆州市退役军人事务局</t>
  </si>
  <si>
    <t>荆州市审计局</t>
  </si>
  <si>
    <t>荆州市市场监督管理局</t>
  </si>
  <si>
    <t>荆州市人民政府研究室</t>
  </si>
  <si>
    <t>荆州市城市管理执法委员会</t>
  </si>
  <si>
    <t>荆州经济技术开发区管理委员会</t>
  </si>
  <si>
    <t>荆州纪南生态文化旅游区管理委员会</t>
  </si>
  <si>
    <t>荆州高新技术产业开发区管理委员会</t>
  </si>
  <si>
    <t>湖北洪湖国家级自然保护区管理局</t>
  </si>
  <si>
    <t>荆州市总工会</t>
  </si>
  <si>
    <t>荆州市机关事务服务中心</t>
  </si>
  <si>
    <t>荆州市养老保险服务中心</t>
  </si>
  <si>
    <t>荆州市劳动就业服务中心</t>
  </si>
  <si>
    <t>荆州市水政监察支队</t>
  </si>
  <si>
    <t>荆州市农业农村发展中心</t>
  </si>
  <si>
    <t>荆州市人民对外友好协会秘书处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</si>
</sst>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176" formatCode="0.00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sz val="12"/>
      <name val="宋体"/>
      <charset val="134"/>
    </font>
    <font>
      <sz val="16"/>
      <color theme="1"/>
      <name val="黑体"/>
      <charset val="134"/>
    </font>
    <font>
      <sz val="20"/>
      <color theme="1"/>
      <name val="方正小标宋简体"/>
      <charset val="134"/>
    </font>
    <font>
      <sz val="11"/>
      <color theme="1"/>
      <name val="黑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7" fillId="9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6" borderId="7" applyNumberFormat="0" applyFont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8" fillId="12" borderId="6" applyNumberFormat="0" applyAlignment="0" applyProtection="0">
      <alignment vertical="center"/>
    </xf>
    <xf numFmtId="0" fontId="20" fillId="12" borderId="5" applyNumberFormat="0" applyAlignment="0" applyProtection="0">
      <alignment vertical="center"/>
    </xf>
    <xf numFmtId="0" fontId="21" fillId="24" borderId="11" applyNumberFormat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176" fontId="0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176" fontId="1" fillId="0" borderId="0" xfId="0" applyNumberFormat="1" applyFont="1" applyFill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87"/>
  <sheetViews>
    <sheetView tabSelected="1" topLeftCell="A21" workbookViewId="0">
      <selection activeCell="A18" sqref="A18:I41"/>
    </sheetView>
  </sheetViews>
  <sheetFormatPr defaultColWidth="9" defaultRowHeight="13.5"/>
  <cols>
    <col min="1" max="1" width="26.375" style="4" customWidth="1"/>
    <col min="2" max="2" width="14.375" style="5" customWidth="1"/>
    <col min="3" max="3" width="9" style="5" customWidth="1"/>
    <col min="4" max="4" width="11.875" style="5" customWidth="1"/>
    <col min="5" max="7" width="9" style="5"/>
    <col min="8" max="8" width="9" style="6"/>
    <col min="9" max="16384" width="9" style="1"/>
  </cols>
  <sheetData>
    <row r="1" s="1" customFormat="1" ht="36" customHeight="1" spans="1:7">
      <c r="A1" s="7" t="s">
        <v>0</v>
      </c>
      <c r="B1" s="5"/>
      <c r="C1" s="5"/>
      <c r="D1" s="5"/>
      <c r="E1" s="5"/>
      <c r="F1" s="5"/>
      <c r="G1" s="5"/>
    </row>
    <row r="2" s="1" customFormat="1" ht="61" customHeight="1" spans="1:9">
      <c r="A2" s="8" t="s">
        <v>1</v>
      </c>
      <c r="B2" s="8"/>
      <c r="C2" s="8"/>
      <c r="D2" s="8"/>
      <c r="E2" s="8"/>
      <c r="F2" s="8"/>
      <c r="G2" s="8"/>
      <c r="H2" s="8"/>
      <c r="I2" s="8"/>
    </row>
    <row r="3" s="1" customFormat="1" ht="33" customHeight="1" spans="1:9">
      <c r="A3" s="9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1" t="s">
        <v>9</v>
      </c>
      <c r="I3" s="10" t="s">
        <v>10</v>
      </c>
    </row>
    <row r="4" s="2" customFormat="1" ht="22" customHeight="1" spans="1:9">
      <c r="A4" s="12" t="s">
        <v>11</v>
      </c>
      <c r="B4" s="13" t="str">
        <f>"22014"</f>
        <v>22014</v>
      </c>
      <c r="C4" s="13">
        <v>1</v>
      </c>
      <c r="D4" s="14" t="str">
        <f>"202210101"</f>
        <v>202210101</v>
      </c>
      <c r="E4" s="14" t="str">
        <f>"张娇"</f>
        <v>张娇</v>
      </c>
      <c r="F4" s="14">
        <v>71</v>
      </c>
      <c r="G4" s="14">
        <v>82.8</v>
      </c>
      <c r="H4" s="15">
        <f t="shared" ref="H4:H64" si="0">(F4+G4)/2</f>
        <v>76.9</v>
      </c>
      <c r="I4" s="14">
        <v>1</v>
      </c>
    </row>
    <row r="5" s="2" customFormat="1" ht="22" customHeight="1" spans="1:9">
      <c r="A5" s="16"/>
      <c r="B5" s="17"/>
      <c r="C5" s="17"/>
      <c r="D5" s="14" t="str">
        <f>"202210114"</f>
        <v>202210114</v>
      </c>
      <c r="E5" s="14" t="str">
        <f>"许新祥"</f>
        <v>许新祥</v>
      </c>
      <c r="F5" s="14">
        <v>69</v>
      </c>
      <c r="G5" s="14">
        <v>83</v>
      </c>
      <c r="H5" s="15">
        <f t="shared" si="0"/>
        <v>76</v>
      </c>
      <c r="I5" s="14">
        <v>2</v>
      </c>
    </row>
    <row r="6" s="2" customFormat="1" ht="22" customHeight="1" spans="1:9">
      <c r="A6" s="12" t="s">
        <v>12</v>
      </c>
      <c r="B6" s="13" t="str">
        <f>"22037"</f>
        <v>22037</v>
      </c>
      <c r="C6" s="13">
        <v>1</v>
      </c>
      <c r="D6" s="14" t="str">
        <f>"202210323"</f>
        <v>202210323</v>
      </c>
      <c r="E6" s="14" t="str">
        <f>"邓露"</f>
        <v>邓露</v>
      </c>
      <c r="F6" s="14">
        <v>71.5</v>
      </c>
      <c r="G6" s="14">
        <v>83.2</v>
      </c>
      <c r="H6" s="15">
        <f t="shared" si="0"/>
        <v>77.35</v>
      </c>
      <c r="I6" s="14">
        <v>1</v>
      </c>
    </row>
    <row r="7" s="2" customFormat="1" ht="22" customHeight="1" spans="1:9">
      <c r="A7" s="16"/>
      <c r="B7" s="17"/>
      <c r="C7" s="17"/>
      <c r="D7" s="14" t="str">
        <f>"202210110"</f>
        <v>202210110</v>
      </c>
      <c r="E7" s="14" t="str">
        <f>"胡振"</f>
        <v>胡振</v>
      </c>
      <c r="F7" s="14">
        <v>70</v>
      </c>
      <c r="G7" s="14">
        <v>80</v>
      </c>
      <c r="H7" s="15">
        <f t="shared" si="0"/>
        <v>75</v>
      </c>
      <c r="I7" s="14">
        <v>2</v>
      </c>
    </row>
    <row r="8" s="2" customFormat="1" ht="22" customHeight="1" spans="1:9">
      <c r="A8" s="12" t="s">
        <v>13</v>
      </c>
      <c r="B8" s="13" t="str">
        <f>"22039"</f>
        <v>22039</v>
      </c>
      <c r="C8" s="13">
        <v>1</v>
      </c>
      <c r="D8" s="14" t="str">
        <f>"202211909"</f>
        <v>202211909</v>
      </c>
      <c r="E8" s="14" t="str">
        <f>"谷语春"</f>
        <v>谷语春</v>
      </c>
      <c r="F8" s="14">
        <v>71.25</v>
      </c>
      <c r="G8" s="14">
        <v>85.8</v>
      </c>
      <c r="H8" s="15">
        <f t="shared" si="0"/>
        <v>78.525</v>
      </c>
      <c r="I8" s="14">
        <v>1</v>
      </c>
    </row>
    <row r="9" s="2" customFormat="1" ht="22" customHeight="1" spans="1:9">
      <c r="A9" s="16"/>
      <c r="B9" s="17"/>
      <c r="C9" s="17"/>
      <c r="D9" s="14" t="str">
        <f>"202211008"</f>
        <v>202211008</v>
      </c>
      <c r="E9" s="14" t="str">
        <f>"刘亚"</f>
        <v>刘亚</v>
      </c>
      <c r="F9" s="14">
        <v>70.25</v>
      </c>
      <c r="G9" s="14">
        <v>82.4</v>
      </c>
      <c r="H9" s="15">
        <f t="shared" si="0"/>
        <v>76.325</v>
      </c>
      <c r="I9" s="14">
        <v>2</v>
      </c>
    </row>
    <row r="10" s="2" customFormat="1" ht="22" customHeight="1" spans="1:9">
      <c r="A10" s="12" t="s">
        <v>14</v>
      </c>
      <c r="B10" s="13" t="str">
        <f>"22042"</f>
        <v>22042</v>
      </c>
      <c r="C10" s="13">
        <v>1</v>
      </c>
      <c r="D10" s="14" t="str">
        <f>"202211428"</f>
        <v>202211428</v>
      </c>
      <c r="E10" s="14" t="str">
        <f>"李小君"</f>
        <v>李小君</v>
      </c>
      <c r="F10" s="14">
        <v>72</v>
      </c>
      <c r="G10" s="14">
        <v>82.8</v>
      </c>
      <c r="H10" s="15">
        <f t="shared" si="0"/>
        <v>77.4</v>
      </c>
      <c r="I10" s="14">
        <v>1</v>
      </c>
    </row>
    <row r="11" s="2" customFormat="1" ht="22" customHeight="1" spans="1:9">
      <c r="A11" s="16"/>
      <c r="B11" s="17"/>
      <c r="C11" s="17"/>
      <c r="D11" s="14" t="str">
        <f>"202211408"</f>
        <v>202211408</v>
      </c>
      <c r="E11" s="14" t="str">
        <f>"谭佳"</f>
        <v>谭佳</v>
      </c>
      <c r="F11" s="14">
        <v>71.75</v>
      </c>
      <c r="G11" s="14">
        <v>82.8</v>
      </c>
      <c r="H11" s="15">
        <f t="shared" si="0"/>
        <v>77.275</v>
      </c>
      <c r="I11" s="14">
        <v>2</v>
      </c>
    </row>
    <row r="12" s="2" customFormat="1" ht="22" customHeight="1" spans="1:9">
      <c r="A12" s="16"/>
      <c r="B12" s="13">
        <v>22043</v>
      </c>
      <c r="C12" s="13">
        <v>1</v>
      </c>
      <c r="D12" s="14" t="str">
        <f>"202210229"</f>
        <v>202210229</v>
      </c>
      <c r="E12" s="14" t="str">
        <f>"李碧显"</f>
        <v>李碧显</v>
      </c>
      <c r="F12" s="14">
        <v>69.25</v>
      </c>
      <c r="G12" s="14">
        <v>84.8</v>
      </c>
      <c r="H12" s="15">
        <f t="shared" si="0"/>
        <v>77.025</v>
      </c>
      <c r="I12" s="14">
        <v>1</v>
      </c>
    </row>
    <row r="13" s="2" customFormat="1" ht="22" customHeight="1" spans="1:9">
      <c r="A13" s="16"/>
      <c r="B13" s="17"/>
      <c r="C13" s="17"/>
      <c r="D13" s="14" t="str">
        <f>"202210215"</f>
        <v>202210215</v>
      </c>
      <c r="E13" s="14" t="str">
        <f>"李杰"</f>
        <v>李杰</v>
      </c>
      <c r="F13" s="14">
        <v>69</v>
      </c>
      <c r="G13" s="14">
        <v>84.8</v>
      </c>
      <c r="H13" s="15">
        <f t="shared" si="0"/>
        <v>76.9</v>
      </c>
      <c r="I13" s="14">
        <v>2</v>
      </c>
    </row>
    <row r="14" s="2" customFormat="1" ht="22" customHeight="1" spans="1:9">
      <c r="A14" s="12" t="s">
        <v>15</v>
      </c>
      <c r="B14" s="13" t="str">
        <f>"22046"</f>
        <v>22046</v>
      </c>
      <c r="C14" s="13">
        <v>1</v>
      </c>
      <c r="D14" s="14" t="str">
        <f>"202210201"</f>
        <v>202210201</v>
      </c>
      <c r="E14" s="14" t="str">
        <f>"李露露"</f>
        <v>李露露</v>
      </c>
      <c r="F14" s="14">
        <v>72.5</v>
      </c>
      <c r="G14" s="14">
        <v>87.8</v>
      </c>
      <c r="H14" s="15">
        <f t="shared" si="0"/>
        <v>80.15</v>
      </c>
      <c r="I14" s="14">
        <v>1</v>
      </c>
    </row>
    <row r="15" s="2" customFormat="1" ht="22" customHeight="1" spans="1:9">
      <c r="A15" s="16"/>
      <c r="B15" s="17"/>
      <c r="C15" s="17"/>
      <c r="D15" s="14" t="str">
        <f>"202210202"</f>
        <v>202210202</v>
      </c>
      <c r="E15" s="14" t="str">
        <f>"张梦莲"</f>
        <v>张梦莲</v>
      </c>
      <c r="F15" s="14">
        <v>71</v>
      </c>
      <c r="G15" s="14">
        <v>83</v>
      </c>
      <c r="H15" s="15">
        <f t="shared" si="0"/>
        <v>77</v>
      </c>
      <c r="I15" s="14">
        <v>2</v>
      </c>
    </row>
    <row r="16" s="2" customFormat="1" ht="22" customHeight="1" spans="1:9">
      <c r="A16" s="12" t="s">
        <v>16</v>
      </c>
      <c r="B16" s="13" t="str">
        <f>"22047"</f>
        <v>22047</v>
      </c>
      <c r="C16" s="13">
        <v>1</v>
      </c>
      <c r="D16" s="14" t="str">
        <f>"202211326"</f>
        <v>202211326</v>
      </c>
      <c r="E16" s="14" t="str">
        <f>"王宏明"</f>
        <v>王宏明</v>
      </c>
      <c r="F16" s="14">
        <v>72.5</v>
      </c>
      <c r="G16" s="14">
        <v>83.4</v>
      </c>
      <c r="H16" s="15">
        <f t="shared" si="0"/>
        <v>77.95</v>
      </c>
      <c r="I16" s="14">
        <v>1</v>
      </c>
    </row>
    <row r="17" s="2" customFormat="1" ht="22" customHeight="1" spans="1:9">
      <c r="A17" s="16"/>
      <c r="B17" s="17"/>
      <c r="C17" s="17"/>
      <c r="D17" s="14" t="str">
        <f>"202211725"</f>
        <v>202211725</v>
      </c>
      <c r="E17" s="14" t="str">
        <f>"洪娜敏"</f>
        <v>洪娜敏</v>
      </c>
      <c r="F17" s="14">
        <v>69.5</v>
      </c>
      <c r="G17" s="14">
        <v>83.8</v>
      </c>
      <c r="H17" s="15">
        <f t="shared" si="0"/>
        <v>76.65</v>
      </c>
      <c r="I17" s="14">
        <v>2</v>
      </c>
    </row>
    <row r="18" s="2" customFormat="1" ht="22" customHeight="1" spans="1:9">
      <c r="A18" s="18" t="s">
        <v>17</v>
      </c>
      <c r="B18" s="14" t="str">
        <f>"22049"</f>
        <v>22049</v>
      </c>
      <c r="C18" s="14">
        <v>1</v>
      </c>
      <c r="D18" s="14" t="str">
        <f>"202210127"</f>
        <v>202210127</v>
      </c>
      <c r="E18" s="14" t="str">
        <f>"陈明秋"</f>
        <v>陈明秋</v>
      </c>
      <c r="F18" s="14">
        <v>71.5</v>
      </c>
      <c r="G18" s="14">
        <v>85.2</v>
      </c>
      <c r="H18" s="15">
        <f t="shared" si="0"/>
        <v>78.35</v>
      </c>
      <c r="I18" s="14">
        <v>1</v>
      </c>
    </row>
    <row r="19" s="2" customFormat="1" ht="22" customHeight="1" spans="1:9">
      <c r="A19" s="18"/>
      <c r="B19" s="14"/>
      <c r="C19" s="14"/>
      <c r="D19" s="14" t="str">
        <f>"202210116"</f>
        <v>202210116</v>
      </c>
      <c r="E19" s="14" t="str">
        <f>"周咪"</f>
        <v>周咪</v>
      </c>
      <c r="F19" s="14">
        <v>67.75</v>
      </c>
      <c r="G19" s="14">
        <v>82.6</v>
      </c>
      <c r="H19" s="15">
        <f t="shared" si="0"/>
        <v>75.175</v>
      </c>
      <c r="I19" s="14">
        <v>2</v>
      </c>
    </row>
    <row r="20" s="2" customFormat="1" ht="22" customHeight="1" spans="1:9">
      <c r="A20" s="18"/>
      <c r="B20" s="14" t="str">
        <f>"22051"</f>
        <v>22051</v>
      </c>
      <c r="C20" s="14">
        <v>1</v>
      </c>
      <c r="D20" s="14" t="str">
        <f>"202210417"</f>
        <v>202210417</v>
      </c>
      <c r="E20" s="14" t="str">
        <f>"武秋实"</f>
        <v>武秋实</v>
      </c>
      <c r="F20" s="14">
        <v>73</v>
      </c>
      <c r="G20" s="14">
        <v>83</v>
      </c>
      <c r="H20" s="15">
        <f t="shared" si="0"/>
        <v>78</v>
      </c>
      <c r="I20" s="14">
        <v>1</v>
      </c>
    </row>
    <row r="21" s="2" customFormat="1" ht="22" customHeight="1" spans="1:9">
      <c r="A21" s="18"/>
      <c r="B21" s="14"/>
      <c r="C21" s="14"/>
      <c r="D21" s="14" t="str">
        <f>"202210622"</f>
        <v>202210622</v>
      </c>
      <c r="E21" s="14" t="str">
        <f>"陈冬梅"</f>
        <v>陈冬梅</v>
      </c>
      <c r="F21" s="14">
        <v>71.75</v>
      </c>
      <c r="G21" s="14">
        <v>83.8</v>
      </c>
      <c r="H21" s="15">
        <f t="shared" si="0"/>
        <v>77.775</v>
      </c>
      <c r="I21" s="14">
        <v>2</v>
      </c>
    </row>
    <row r="22" s="2" customFormat="1" ht="22" customHeight="1" spans="1:9">
      <c r="A22" s="18"/>
      <c r="B22" s="14" t="str">
        <f>"22052"</f>
        <v>22052</v>
      </c>
      <c r="C22" s="14">
        <v>1</v>
      </c>
      <c r="D22" s="14" t="str">
        <f>"202210621"</f>
        <v>202210621</v>
      </c>
      <c r="E22" s="14" t="str">
        <f>"李佳航"</f>
        <v>李佳航</v>
      </c>
      <c r="F22" s="14">
        <v>68.75</v>
      </c>
      <c r="G22" s="14">
        <v>82.8</v>
      </c>
      <c r="H22" s="15">
        <f t="shared" si="0"/>
        <v>75.775</v>
      </c>
      <c r="I22" s="14">
        <v>1</v>
      </c>
    </row>
    <row r="23" s="2" customFormat="1" ht="22" customHeight="1" spans="1:9">
      <c r="A23" s="18"/>
      <c r="B23" s="14"/>
      <c r="C23" s="14"/>
      <c r="D23" s="14" t="str">
        <f>"202210402"</f>
        <v>202210402</v>
      </c>
      <c r="E23" s="14" t="str">
        <f>"冯炜"</f>
        <v>冯炜</v>
      </c>
      <c r="F23" s="14">
        <v>66</v>
      </c>
      <c r="G23" s="14">
        <v>84.6</v>
      </c>
      <c r="H23" s="15">
        <f t="shared" si="0"/>
        <v>75.3</v>
      </c>
      <c r="I23" s="14">
        <v>2</v>
      </c>
    </row>
    <row r="24" s="2" customFormat="1" ht="22" customHeight="1" spans="1:9">
      <c r="A24" s="18" t="s">
        <v>18</v>
      </c>
      <c r="B24" s="14" t="str">
        <f>"22054"</f>
        <v>22054</v>
      </c>
      <c r="C24" s="14">
        <v>1</v>
      </c>
      <c r="D24" s="14" t="str">
        <f>"202210226"</f>
        <v>202210226</v>
      </c>
      <c r="E24" s="14" t="str">
        <f>"田孝艳"</f>
        <v>田孝艳</v>
      </c>
      <c r="F24" s="14">
        <v>72.25</v>
      </c>
      <c r="G24" s="14">
        <v>86.4</v>
      </c>
      <c r="H24" s="15">
        <f t="shared" si="0"/>
        <v>79.325</v>
      </c>
      <c r="I24" s="14">
        <v>1</v>
      </c>
    </row>
    <row r="25" s="2" customFormat="1" ht="22" customHeight="1" spans="1:9">
      <c r="A25" s="18"/>
      <c r="B25" s="14"/>
      <c r="C25" s="14"/>
      <c r="D25" s="14" t="str">
        <f>"202211830"</f>
        <v>202211830</v>
      </c>
      <c r="E25" s="14" t="str">
        <f>"刘美"</f>
        <v>刘美</v>
      </c>
      <c r="F25" s="14">
        <v>66</v>
      </c>
      <c r="G25" s="14">
        <v>83</v>
      </c>
      <c r="H25" s="15">
        <f t="shared" si="0"/>
        <v>74.5</v>
      </c>
      <c r="I25" s="14">
        <v>2</v>
      </c>
    </row>
    <row r="26" s="2" customFormat="1" ht="22" customHeight="1" spans="1:9">
      <c r="A26" s="18" t="s">
        <v>19</v>
      </c>
      <c r="B26" s="14" t="str">
        <f>"22055"</f>
        <v>22055</v>
      </c>
      <c r="C26" s="14">
        <v>1</v>
      </c>
      <c r="D26" s="14" t="str">
        <f>"202211016"</f>
        <v>202211016</v>
      </c>
      <c r="E26" s="14" t="str">
        <f>"张涛"</f>
        <v>张涛</v>
      </c>
      <c r="F26" s="14">
        <v>68</v>
      </c>
      <c r="G26" s="14">
        <v>87</v>
      </c>
      <c r="H26" s="15">
        <f t="shared" si="0"/>
        <v>77.5</v>
      </c>
      <c r="I26" s="14">
        <v>1</v>
      </c>
    </row>
    <row r="27" s="2" customFormat="1" ht="22" customHeight="1" spans="1:9">
      <c r="A27" s="18"/>
      <c r="B27" s="14"/>
      <c r="C27" s="14"/>
      <c r="D27" s="14" t="str">
        <f>"202211604"</f>
        <v>202211604</v>
      </c>
      <c r="E27" s="14" t="str">
        <f>"朱雅路"</f>
        <v>朱雅路</v>
      </c>
      <c r="F27" s="14">
        <v>65</v>
      </c>
      <c r="G27" s="14">
        <v>83.6</v>
      </c>
      <c r="H27" s="15">
        <f t="shared" si="0"/>
        <v>74.3</v>
      </c>
      <c r="I27" s="14">
        <v>2</v>
      </c>
    </row>
    <row r="28" s="2" customFormat="1" ht="22" customHeight="1" spans="1:9">
      <c r="A28" s="18" t="s">
        <v>20</v>
      </c>
      <c r="B28" s="14" t="str">
        <f>"22057"</f>
        <v>22057</v>
      </c>
      <c r="C28" s="14">
        <v>1</v>
      </c>
      <c r="D28" s="14" t="str">
        <f>"202210604"</f>
        <v>202210604</v>
      </c>
      <c r="E28" s="14" t="str">
        <f>"许可"</f>
        <v>许可</v>
      </c>
      <c r="F28" s="14">
        <v>69.25</v>
      </c>
      <c r="G28" s="14">
        <v>84.2</v>
      </c>
      <c r="H28" s="15">
        <f t="shared" si="0"/>
        <v>76.725</v>
      </c>
      <c r="I28" s="14">
        <v>1</v>
      </c>
    </row>
    <row r="29" s="2" customFormat="1" ht="22" customHeight="1" spans="1:9">
      <c r="A29" s="18"/>
      <c r="B29" s="14"/>
      <c r="C29" s="14"/>
      <c r="D29" s="14" t="str">
        <f>"202211304"</f>
        <v>202211304</v>
      </c>
      <c r="E29" s="14" t="str">
        <f>"王昊"</f>
        <v>王昊</v>
      </c>
      <c r="F29" s="14">
        <v>66.5</v>
      </c>
      <c r="G29" s="14">
        <v>84.8</v>
      </c>
      <c r="H29" s="15">
        <f t="shared" si="0"/>
        <v>75.65</v>
      </c>
      <c r="I29" s="14">
        <v>2</v>
      </c>
    </row>
    <row r="30" s="2" customFormat="1" ht="22" customHeight="1" spans="1:9">
      <c r="A30" s="18"/>
      <c r="B30" s="14" t="str">
        <f>"22058"</f>
        <v>22058</v>
      </c>
      <c r="C30" s="14">
        <v>1</v>
      </c>
      <c r="D30" s="14" t="str">
        <f>"202210602"</f>
        <v>202210602</v>
      </c>
      <c r="E30" s="14" t="str">
        <f>"刘琴"</f>
        <v>刘琴</v>
      </c>
      <c r="F30" s="14">
        <v>69.75</v>
      </c>
      <c r="G30" s="14">
        <v>85.8</v>
      </c>
      <c r="H30" s="15">
        <f t="shared" si="0"/>
        <v>77.775</v>
      </c>
      <c r="I30" s="14">
        <v>1</v>
      </c>
    </row>
    <row r="31" s="2" customFormat="1" ht="22" customHeight="1" spans="1:9">
      <c r="A31" s="18"/>
      <c r="B31" s="14"/>
      <c r="C31" s="14"/>
      <c r="D31" s="14" t="str">
        <f>"202210118"</f>
        <v>202210118</v>
      </c>
      <c r="E31" s="14" t="str">
        <f>"胡维"</f>
        <v>胡维</v>
      </c>
      <c r="F31" s="14">
        <v>67</v>
      </c>
      <c r="G31" s="14">
        <v>85.2</v>
      </c>
      <c r="H31" s="15">
        <f t="shared" si="0"/>
        <v>76.1</v>
      </c>
      <c r="I31" s="14">
        <v>2</v>
      </c>
    </row>
    <row r="32" s="2" customFormat="1" ht="22" customHeight="1" spans="1:9">
      <c r="A32" s="18" t="s">
        <v>21</v>
      </c>
      <c r="B32" s="14" t="str">
        <f>"22064"</f>
        <v>22064</v>
      </c>
      <c r="C32" s="14">
        <v>1</v>
      </c>
      <c r="D32" s="14" t="str">
        <f>"202210222"</f>
        <v>202210222</v>
      </c>
      <c r="E32" s="14" t="str">
        <f>"洪荆晶"</f>
        <v>洪荆晶</v>
      </c>
      <c r="F32" s="14">
        <v>75.25</v>
      </c>
      <c r="G32" s="14">
        <v>85</v>
      </c>
      <c r="H32" s="15">
        <f t="shared" si="0"/>
        <v>80.125</v>
      </c>
      <c r="I32" s="14">
        <v>1</v>
      </c>
    </row>
    <row r="33" s="2" customFormat="1" ht="22" customHeight="1" spans="1:9">
      <c r="A33" s="18"/>
      <c r="B33" s="14"/>
      <c r="C33" s="14"/>
      <c r="D33" s="14" t="str">
        <f>"202211012"</f>
        <v>202211012</v>
      </c>
      <c r="E33" s="14" t="str">
        <f>"向亚男"</f>
        <v>向亚男</v>
      </c>
      <c r="F33" s="14">
        <v>71</v>
      </c>
      <c r="G33" s="14">
        <v>82.6</v>
      </c>
      <c r="H33" s="15">
        <f t="shared" si="0"/>
        <v>76.8</v>
      </c>
      <c r="I33" s="14">
        <v>2</v>
      </c>
    </row>
    <row r="34" s="2" customFormat="1" ht="22" customHeight="1" spans="1:9">
      <c r="A34" s="18" t="s">
        <v>22</v>
      </c>
      <c r="B34" s="14" t="str">
        <f>"22070"</f>
        <v>22070</v>
      </c>
      <c r="C34" s="14">
        <v>1</v>
      </c>
      <c r="D34" s="14" t="str">
        <f>"202211905"</f>
        <v>202211905</v>
      </c>
      <c r="E34" s="14" t="str">
        <f>"魏兰"</f>
        <v>魏兰</v>
      </c>
      <c r="F34" s="14">
        <v>70.25</v>
      </c>
      <c r="G34" s="14">
        <v>85.6</v>
      </c>
      <c r="H34" s="15">
        <f t="shared" si="0"/>
        <v>77.925</v>
      </c>
      <c r="I34" s="14">
        <v>1</v>
      </c>
    </row>
    <row r="35" s="2" customFormat="1" ht="22" customHeight="1" spans="1:9">
      <c r="A35" s="18"/>
      <c r="B35" s="14"/>
      <c r="C35" s="14"/>
      <c r="D35" s="14" t="str">
        <f>"202210209"</f>
        <v>202210209</v>
      </c>
      <c r="E35" s="14" t="str">
        <f>"袁欢"</f>
        <v>袁欢</v>
      </c>
      <c r="F35" s="14">
        <v>69</v>
      </c>
      <c r="G35" s="14">
        <v>85.8</v>
      </c>
      <c r="H35" s="15">
        <f t="shared" si="0"/>
        <v>77.4</v>
      </c>
      <c r="I35" s="14">
        <v>2</v>
      </c>
    </row>
    <row r="36" s="2" customFormat="1" ht="22" customHeight="1" spans="1:9">
      <c r="A36" s="18"/>
      <c r="B36" s="14" t="str">
        <f>"22071"</f>
        <v>22071</v>
      </c>
      <c r="C36" s="14">
        <v>1</v>
      </c>
      <c r="D36" s="14" t="str">
        <f>"202210803"</f>
        <v>202210803</v>
      </c>
      <c r="E36" s="14" t="str">
        <f>"陈江华"</f>
        <v>陈江华</v>
      </c>
      <c r="F36" s="14">
        <v>70.5</v>
      </c>
      <c r="G36" s="14">
        <v>87.8</v>
      </c>
      <c r="H36" s="15">
        <f t="shared" si="0"/>
        <v>79.15</v>
      </c>
      <c r="I36" s="14">
        <v>1</v>
      </c>
    </row>
    <row r="37" s="2" customFormat="1" ht="22" customHeight="1" spans="1:9">
      <c r="A37" s="18"/>
      <c r="B37" s="14"/>
      <c r="C37" s="14"/>
      <c r="D37" s="14" t="str">
        <f>"202211004"</f>
        <v>202211004</v>
      </c>
      <c r="E37" s="14" t="str">
        <f>"易丹丹"</f>
        <v>易丹丹</v>
      </c>
      <c r="F37" s="14">
        <v>67.5</v>
      </c>
      <c r="G37" s="14">
        <v>83.2</v>
      </c>
      <c r="H37" s="15">
        <f t="shared" si="0"/>
        <v>75.35</v>
      </c>
      <c r="I37" s="14">
        <v>2</v>
      </c>
    </row>
    <row r="38" s="2" customFormat="1" ht="22" customHeight="1" spans="1:9">
      <c r="A38" s="18" t="s">
        <v>23</v>
      </c>
      <c r="B38" s="14" t="str">
        <f>"22073"</f>
        <v>22073</v>
      </c>
      <c r="C38" s="14">
        <v>1</v>
      </c>
      <c r="D38" s="14" t="str">
        <f>"202211128"</f>
        <v>202211128</v>
      </c>
      <c r="E38" s="14" t="str">
        <f>"李晨"</f>
        <v>李晨</v>
      </c>
      <c r="F38" s="14">
        <v>70</v>
      </c>
      <c r="G38" s="14">
        <v>87</v>
      </c>
      <c r="H38" s="15">
        <f t="shared" si="0"/>
        <v>78.5</v>
      </c>
      <c r="I38" s="14">
        <v>1</v>
      </c>
    </row>
    <row r="39" s="2" customFormat="1" ht="22" customHeight="1" spans="1:9">
      <c r="A39" s="18"/>
      <c r="B39" s="14"/>
      <c r="C39" s="14"/>
      <c r="D39" s="14" t="str">
        <f>"202210910"</f>
        <v>202210910</v>
      </c>
      <c r="E39" s="14" t="str">
        <f>"胡梦婷"</f>
        <v>胡梦婷</v>
      </c>
      <c r="F39" s="14">
        <v>65.75</v>
      </c>
      <c r="G39" s="14">
        <v>84.6</v>
      </c>
      <c r="H39" s="15">
        <f t="shared" si="0"/>
        <v>75.175</v>
      </c>
      <c r="I39" s="14">
        <v>2</v>
      </c>
    </row>
    <row r="40" s="2" customFormat="1" ht="22" customHeight="1" spans="1:9">
      <c r="A40" s="18"/>
      <c r="B40" s="14" t="str">
        <f>"22074"</f>
        <v>22074</v>
      </c>
      <c r="C40" s="14">
        <v>1</v>
      </c>
      <c r="D40" s="14" t="str">
        <f>"202211106"</f>
        <v>202211106</v>
      </c>
      <c r="E40" s="14" t="str">
        <f>"王鼎尊"</f>
        <v>王鼎尊</v>
      </c>
      <c r="F40" s="14">
        <v>68</v>
      </c>
      <c r="G40" s="14">
        <v>85.6</v>
      </c>
      <c r="H40" s="15">
        <f t="shared" si="0"/>
        <v>76.8</v>
      </c>
      <c r="I40" s="14">
        <v>1</v>
      </c>
    </row>
    <row r="41" s="2" customFormat="1" ht="22" customHeight="1" spans="1:9">
      <c r="A41" s="18"/>
      <c r="B41" s="14"/>
      <c r="C41" s="14"/>
      <c r="D41" s="14" t="str">
        <f>"202210309"</f>
        <v>202210309</v>
      </c>
      <c r="E41" s="14" t="str">
        <f>"张晨"</f>
        <v>张晨</v>
      </c>
      <c r="F41" s="14">
        <v>69.25</v>
      </c>
      <c r="G41" s="14">
        <v>83</v>
      </c>
      <c r="H41" s="15">
        <f t="shared" si="0"/>
        <v>76.125</v>
      </c>
      <c r="I41" s="14">
        <v>2</v>
      </c>
    </row>
    <row r="42" s="2" customFormat="1" ht="22" customHeight="1" spans="1:9">
      <c r="A42" s="12" t="s">
        <v>24</v>
      </c>
      <c r="B42" s="13" t="str">
        <f>"22075"</f>
        <v>22075</v>
      </c>
      <c r="C42" s="13">
        <v>1</v>
      </c>
      <c r="D42" s="14" t="str">
        <f>"202210721"</f>
        <v>202210721</v>
      </c>
      <c r="E42" s="14" t="str">
        <f>"黄松"</f>
        <v>黄松</v>
      </c>
      <c r="F42" s="14">
        <v>71</v>
      </c>
      <c r="G42" s="14">
        <v>82.8</v>
      </c>
      <c r="H42" s="15">
        <f t="shared" si="0"/>
        <v>76.9</v>
      </c>
      <c r="I42" s="14">
        <v>1</v>
      </c>
    </row>
    <row r="43" s="2" customFormat="1" ht="22" customHeight="1" spans="1:9">
      <c r="A43" s="16"/>
      <c r="B43" s="17"/>
      <c r="C43" s="17"/>
      <c r="D43" s="14" t="str">
        <f>"202211507"</f>
        <v>202211507</v>
      </c>
      <c r="E43" s="14" t="str">
        <f>"谭何清"</f>
        <v>谭何清</v>
      </c>
      <c r="F43" s="14">
        <v>69.25</v>
      </c>
      <c r="G43" s="14">
        <v>84.2</v>
      </c>
      <c r="H43" s="15">
        <f t="shared" si="0"/>
        <v>76.725</v>
      </c>
      <c r="I43" s="14">
        <v>2</v>
      </c>
    </row>
    <row r="44" s="2" customFormat="1" ht="22" customHeight="1" spans="1:9">
      <c r="A44" s="16"/>
      <c r="B44" s="13" t="str">
        <f>"22076"</f>
        <v>22076</v>
      </c>
      <c r="C44" s="13">
        <v>1</v>
      </c>
      <c r="D44" s="14" t="str">
        <f>"202211327"</f>
        <v>202211327</v>
      </c>
      <c r="E44" s="14" t="str">
        <f>"王桂双"</f>
        <v>王桂双</v>
      </c>
      <c r="F44" s="14">
        <v>73.25</v>
      </c>
      <c r="G44" s="14">
        <v>86</v>
      </c>
      <c r="H44" s="15">
        <f t="shared" si="0"/>
        <v>79.625</v>
      </c>
      <c r="I44" s="14">
        <v>1</v>
      </c>
    </row>
    <row r="45" s="2" customFormat="1" ht="22" customHeight="1" spans="1:9">
      <c r="A45" s="16"/>
      <c r="B45" s="17"/>
      <c r="C45" s="17"/>
      <c r="D45" s="14" t="str">
        <f>"202210627"</f>
        <v>202210627</v>
      </c>
      <c r="E45" s="14" t="str">
        <f>"沈莹莹"</f>
        <v>沈莹莹</v>
      </c>
      <c r="F45" s="14">
        <v>66.5</v>
      </c>
      <c r="G45" s="14">
        <v>79.8</v>
      </c>
      <c r="H45" s="15">
        <f t="shared" si="0"/>
        <v>73.15</v>
      </c>
      <c r="I45" s="14">
        <v>2</v>
      </c>
    </row>
    <row r="46" s="2" customFormat="1" ht="22" customHeight="1" spans="1:9">
      <c r="A46" s="16"/>
      <c r="B46" s="13" t="str">
        <f>"22077"</f>
        <v>22077</v>
      </c>
      <c r="C46" s="13">
        <v>1</v>
      </c>
      <c r="D46" s="14" t="str">
        <f>"202211715"</f>
        <v>202211715</v>
      </c>
      <c r="E46" s="14" t="str">
        <f>"吴松林"</f>
        <v>吴松林</v>
      </c>
      <c r="F46" s="14">
        <v>71.5</v>
      </c>
      <c r="G46" s="14">
        <v>85.8</v>
      </c>
      <c r="H46" s="15">
        <f t="shared" si="0"/>
        <v>78.65</v>
      </c>
      <c r="I46" s="14">
        <v>1</v>
      </c>
    </row>
    <row r="47" s="2" customFormat="1" ht="22" customHeight="1" spans="1:9">
      <c r="A47" s="16"/>
      <c r="B47" s="17"/>
      <c r="C47" s="17"/>
      <c r="D47" s="14" t="str">
        <f>"202211426"</f>
        <v>202211426</v>
      </c>
      <c r="E47" s="14" t="str">
        <f>"齐亚铃"</f>
        <v>齐亚铃</v>
      </c>
      <c r="F47" s="14">
        <v>68.5</v>
      </c>
      <c r="G47" s="14">
        <v>86</v>
      </c>
      <c r="H47" s="15">
        <f t="shared" si="0"/>
        <v>77.25</v>
      </c>
      <c r="I47" s="14">
        <v>2</v>
      </c>
    </row>
    <row r="48" s="2" customFormat="1" ht="22" customHeight="1" spans="1:9">
      <c r="A48" s="16"/>
      <c r="B48" s="13" t="str">
        <f>"22078"</f>
        <v>22078</v>
      </c>
      <c r="C48" s="13">
        <v>1</v>
      </c>
      <c r="D48" s="14" t="str">
        <f>"202211726"</f>
        <v>202211726</v>
      </c>
      <c r="E48" s="14" t="str">
        <f>"崔贝"</f>
        <v>崔贝</v>
      </c>
      <c r="F48" s="14">
        <v>66.25</v>
      </c>
      <c r="G48" s="14">
        <v>83.2</v>
      </c>
      <c r="H48" s="15">
        <f t="shared" si="0"/>
        <v>74.725</v>
      </c>
      <c r="I48" s="14">
        <v>1</v>
      </c>
    </row>
    <row r="49" s="2" customFormat="1" ht="22" customHeight="1" spans="1:9">
      <c r="A49" s="16"/>
      <c r="B49" s="17"/>
      <c r="C49" s="17"/>
      <c r="D49" s="14" t="str">
        <f>"202211624"</f>
        <v>202211624</v>
      </c>
      <c r="E49" s="14" t="str">
        <f>"高翔"</f>
        <v>高翔</v>
      </c>
      <c r="F49" s="14">
        <v>66.5</v>
      </c>
      <c r="G49" s="14">
        <v>81.6</v>
      </c>
      <c r="H49" s="15">
        <f t="shared" si="0"/>
        <v>74.05</v>
      </c>
      <c r="I49" s="14">
        <v>2</v>
      </c>
    </row>
    <row r="50" s="2" customFormat="1" ht="22" customHeight="1" spans="1:9">
      <c r="A50" s="16"/>
      <c r="B50" s="13" t="str">
        <f>"22079"</f>
        <v>22079</v>
      </c>
      <c r="C50" s="13">
        <v>1</v>
      </c>
      <c r="D50" s="14" t="str">
        <f>"202211713"</f>
        <v>202211713</v>
      </c>
      <c r="E50" s="14" t="str">
        <f>"徐苗"</f>
        <v>徐苗</v>
      </c>
      <c r="F50" s="14">
        <v>69.25</v>
      </c>
      <c r="G50" s="14">
        <v>84.8</v>
      </c>
      <c r="H50" s="15">
        <f t="shared" si="0"/>
        <v>77.025</v>
      </c>
      <c r="I50" s="14">
        <v>1</v>
      </c>
    </row>
    <row r="51" s="2" customFormat="1" ht="22" customHeight="1" spans="1:9">
      <c r="A51" s="16"/>
      <c r="B51" s="17"/>
      <c r="C51" s="17"/>
      <c r="D51" s="14" t="str">
        <f>"202210630"</f>
        <v>202210630</v>
      </c>
      <c r="E51" s="14" t="str">
        <f>"谭晓琴"</f>
        <v>谭晓琴</v>
      </c>
      <c r="F51" s="14">
        <v>68.5</v>
      </c>
      <c r="G51" s="14">
        <v>84.8</v>
      </c>
      <c r="H51" s="15">
        <f t="shared" si="0"/>
        <v>76.65</v>
      </c>
      <c r="I51" s="14">
        <v>2</v>
      </c>
    </row>
    <row r="52" s="2" customFormat="1" ht="22" customHeight="1" spans="1:9">
      <c r="A52" s="12" t="s">
        <v>25</v>
      </c>
      <c r="B52" s="13" t="str">
        <f>"22080"</f>
        <v>22080</v>
      </c>
      <c r="C52" s="13">
        <v>2</v>
      </c>
      <c r="D52" s="14" t="str">
        <f>"202211907"</f>
        <v>202211907</v>
      </c>
      <c r="E52" s="14" t="str">
        <f>"任向远"</f>
        <v>任向远</v>
      </c>
      <c r="F52" s="14">
        <v>71.75</v>
      </c>
      <c r="G52" s="14">
        <v>88</v>
      </c>
      <c r="H52" s="15">
        <f t="shared" si="0"/>
        <v>79.875</v>
      </c>
      <c r="I52" s="14">
        <v>1</v>
      </c>
    </row>
    <row r="53" s="2" customFormat="1" ht="22" customHeight="1" spans="1:9">
      <c r="A53" s="16"/>
      <c r="B53" s="17"/>
      <c r="C53" s="17"/>
      <c r="D53" s="14" t="str">
        <f>"202211123"</f>
        <v>202211123</v>
      </c>
      <c r="E53" s="14" t="str">
        <f>"蒋松"</f>
        <v>蒋松</v>
      </c>
      <c r="F53" s="14">
        <v>70.5</v>
      </c>
      <c r="G53" s="14">
        <v>86.8</v>
      </c>
      <c r="H53" s="15">
        <f t="shared" si="0"/>
        <v>78.65</v>
      </c>
      <c r="I53" s="14">
        <v>2</v>
      </c>
    </row>
    <row r="54" s="2" customFormat="1" ht="22" customHeight="1" spans="1:9">
      <c r="A54" s="16"/>
      <c r="B54" s="17"/>
      <c r="C54" s="17"/>
      <c r="D54" s="14" t="str">
        <f>"202211214"</f>
        <v>202211214</v>
      </c>
      <c r="E54" s="14" t="str">
        <f>"熊益林"</f>
        <v>熊益林</v>
      </c>
      <c r="F54" s="14">
        <v>69.5</v>
      </c>
      <c r="G54" s="14">
        <v>86.6</v>
      </c>
      <c r="H54" s="15">
        <f t="shared" si="0"/>
        <v>78.05</v>
      </c>
      <c r="I54" s="14">
        <v>3</v>
      </c>
    </row>
    <row r="55" s="2" customFormat="1" ht="22" customHeight="1" spans="1:9">
      <c r="A55" s="16"/>
      <c r="B55" s="17"/>
      <c r="C55" s="17"/>
      <c r="D55" s="14" t="str">
        <f>"202211521"</f>
        <v>202211521</v>
      </c>
      <c r="E55" s="14" t="str">
        <f>"符秋实"</f>
        <v>符秋实</v>
      </c>
      <c r="F55" s="14">
        <v>67.75</v>
      </c>
      <c r="G55" s="14">
        <v>86.6</v>
      </c>
      <c r="H55" s="15">
        <f t="shared" si="0"/>
        <v>77.175</v>
      </c>
      <c r="I55" s="14">
        <v>4</v>
      </c>
    </row>
    <row r="56" s="2" customFormat="1" ht="22" customHeight="1" spans="1:9">
      <c r="A56" s="12" t="s">
        <v>26</v>
      </c>
      <c r="B56" s="13" t="str">
        <f>"22081"</f>
        <v>22081</v>
      </c>
      <c r="C56" s="13">
        <v>2</v>
      </c>
      <c r="D56" s="14" t="str">
        <f>"202211328"</f>
        <v>202211328</v>
      </c>
      <c r="E56" s="14" t="str">
        <f>"朱微"</f>
        <v>朱微</v>
      </c>
      <c r="F56" s="14">
        <v>70.75</v>
      </c>
      <c r="G56" s="14">
        <v>82.2</v>
      </c>
      <c r="H56" s="15">
        <f t="shared" si="0"/>
        <v>76.475</v>
      </c>
      <c r="I56" s="14">
        <v>1</v>
      </c>
    </row>
    <row r="57" s="2" customFormat="1" ht="22" customHeight="1" spans="1:9">
      <c r="A57" s="16"/>
      <c r="B57" s="17"/>
      <c r="C57" s="17"/>
      <c r="D57" s="14" t="str">
        <f>"202211318"</f>
        <v>202211318</v>
      </c>
      <c r="E57" s="14" t="str">
        <f>"蒋秀"</f>
        <v>蒋秀</v>
      </c>
      <c r="F57" s="14">
        <v>70</v>
      </c>
      <c r="G57" s="14">
        <v>81.6</v>
      </c>
      <c r="H57" s="15">
        <f t="shared" si="0"/>
        <v>75.8</v>
      </c>
      <c r="I57" s="14">
        <v>2</v>
      </c>
    </row>
    <row r="58" s="2" customFormat="1" ht="22" customHeight="1" spans="1:9">
      <c r="A58" s="16"/>
      <c r="B58" s="17"/>
      <c r="C58" s="17"/>
      <c r="D58" s="14" t="str">
        <f>"202211108"</f>
        <v>202211108</v>
      </c>
      <c r="E58" s="14" t="str">
        <f>"黄莹"</f>
        <v>黄莹</v>
      </c>
      <c r="F58" s="14">
        <v>68</v>
      </c>
      <c r="G58" s="14">
        <v>82.6</v>
      </c>
      <c r="H58" s="15">
        <f t="shared" si="0"/>
        <v>75.3</v>
      </c>
      <c r="I58" s="14">
        <v>3</v>
      </c>
    </row>
    <row r="59" s="2" customFormat="1" ht="22" customHeight="1" spans="1:9">
      <c r="A59" s="16"/>
      <c r="B59" s="17"/>
      <c r="C59" s="17"/>
      <c r="D59" s="14" t="str">
        <f>"202210817"</f>
        <v>202210817</v>
      </c>
      <c r="E59" s="14" t="str">
        <f>"吴海燕"</f>
        <v>吴海燕</v>
      </c>
      <c r="F59" s="14">
        <v>66.75</v>
      </c>
      <c r="G59" s="14">
        <v>79.4</v>
      </c>
      <c r="H59" s="15">
        <f t="shared" si="0"/>
        <v>73.075</v>
      </c>
      <c r="I59" s="14">
        <v>4</v>
      </c>
    </row>
    <row r="60" s="2" customFormat="1" ht="22" customHeight="1" spans="1:9">
      <c r="A60" s="16"/>
      <c r="B60" s="13" t="str">
        <f>"22082"</f>
        <v>22082</v>
      </c>
      <c r="C60" s="13">
        <v>1</v>
      </c>
      <c r="D60" s="14" t="str">
        <f>"202211510"</f>
        <v>202211510</v>
      </c>
      <c r="E60" s="14" t="str">
        <f>"田威"</f>
        <v>田威</v>
      </c>
      <c r="F60" s="14">
        <v>63.5</v>
      </c>
      <c r="G60" s="14">
        <v>82</v>
      </c>
      <c r="H60" s="15">
        <f t="shared" si="0"/>
        <v>72.75</v>
      </c>
      <c r="I60" s="14">
        <v>1</v>
      </c>
    </row>
    <row r="61" s="2" customFormat="1" ht="22" customHeight="1" spans="1:9">
      <c r="A61" s="16"/>
      <c r="B61" s="17"/>
      <c r="C61" s="17"/>
      <c r="D61" s="14" t="str">
        <f>"202211628"</f>
        <v>202211628</v>
      </c>
      <c r="E61" s="14" t="str">
        <f>"聂慧慧"</f>
        <v>聂慧慧</v>
      </c>
      <c r="F61" s="14">
        <v>66</v>
      </c>
      <c r="G61" s="14">
        <v>78.4</v>
      </c>
      <c r="H61" s="15">
        <f t="shared" si="0"/>
        <v>72.2</v>
      </c>
      <c r="I61" s="14">
        <v>2</v>
      </c>
    </row>
    <row r="62" s="2" customFormat="1" ht="22" customHeight="1" spans="1:9">
      <c r="A62" s="12" t="s">
        <v>27</v>
      </c>
      <c r="B62" s="13" t="str">
        <f>"22083"</f>
        <v>22083</v>
      </c>
      <c r="C62" s="13">
        <v>1</v>
      </c>
      <c r="D62" s="14" t="str">
        <f>"202210328"</f>
        <v>202210328</v>
      </c>
      <c r="E62" s="14" t="str">
        <f>"李文健"</f>
        <v>李文健</v>
      </c>
      <c r="F62" s="14">
        <v>69</v>
      </c>
      <c r="G62" s="14">
        <v>86.2</v>
      </c>
      <c r="H62" s="15">
        <f t="shared" si="0"/>
        <v>77.6</v>
      </c>
      <c r="I62" s="14">
        <v>1</v>
      </c>
    </row>
    <row r="63" s="2" customFormat="1" ht="22" customHeight="1" spans="1:9">
      <c r="A63" s="16"/>
      <c r="B63" s="17"/>
      <c r="C63" s="17"/>
      <c r="D63" s="14" t="str">
        <f>"202211829"</f>
        <v>202211829</v>
      </c>
      <c r="E63" s="14" t="str">
        <f>"谢佳伟"</f>
        <v>谢佳伟</v>
      </c>
      <c r="F63" s="14">
        <v>64.75</v>
      </c>
      <c r="G63" s="14">
        <v>84</v>
      </c>
      <c r="H63" s="15">
        <f t="shared" si="0"/>
        <v>74.375</v>
      </c>
      <c r="I63" s="14">
        <v>2</v>
      </c>
    </row>
    <row r="64" s="2" customFormat="1" ht="22" customHeight="1" spans="1:9">
      <c r="A64" s="19"/>
      <c r="B64" s="20"/>
      <c r="C64" s="20"/>
      <c r="D64" s="14" t="str">
        <f>"202211701"</f>
        <v>202211701</v>
      </c>
      <c r="E64" s="14" t="str">
        <f>"李凯丽"</f>
        <v>李凯丽</v>
      </c>
      <c r="F64" s="14">
        <v>64.75</v>
      </c>
      <c r="G64" s="14">
        <v>84</v>
      </c>
      <c r="H64" s="15">
        <f t="shared" si="0"/>
        <v>74.375</v>
      </c>
      <c r="I64" s="14">
        <v>2</v>
      </c>
    </row>
    <row r="65" s="3" customFormat="1" ht="14.25" spans="1:8">
      <c r="A65" s="21"/>
      <c r="B65" s="2"/>
      <c r="C65" s="2"/>
      <c r="H65" s="22"/>
    </row>
    <row r="66" s="3" customFormat="1" ht="14.25" spans="1:8">
      <c r="A66" s="21"/>
      <c r="B66" s="2"/>
      <c r="C66" s="2"/>
      <c r="H66" s="22"/>
    </row>
    <row r="67" s="3" customFormat="1" ht="14.25" spans="1:8">
      <c r="A67" s="21"/>
      <c r="B67" s="2"/>
      <c r="C67" s="2"/>
      <c r="H67" s="22"/>
    </row>
    <row r="68" s="3" customFormat="1" ht="14.25" spans="1:8">
      <c r="A68" s="21"/>
      <c r="B68" s="2"/>
      <c r="C68" s="2"/>
      <c r="H68" s="22"/>
    </row>
    <row r="69" s="3" customFormat="1" ht="14.25" spans="1:8">
      <c r="A69" s="21"/>
      <c r="B69" s="2"/>
      <c r="C69" s="2"/>
      <c r="H69" s="22"/>
    </row>
    <row r="70" s="3" customFormat="1" ht="14.25" spans="1:8">
      <c r="A70" s="21"/>
      <c r="B70" s="2"/>
      <c r="C70" s="2"/>
      <c r="H70" s="22"/>
    </row>
    <row r="71" s="3" customFormat="1" ht="14.25" spans="1:8">
      <c r="A71" s="21"/>
      <c r="B71" s="2"/>
      <c r="C71" s="2"/>
      <c r="H71" s="22"/>
    </row>
    <row r="72" s="3" customFormat="1" ht="14.25" spans="1:8">
      <c r="A72" s="21"/>
      <c r="B72" s="2"/>
      <c r="C72" s="2"/>
      <c r="H72" s="22"/>
    </row>
    <row r="73" s="3" customFormat="1" ht="14.25" spans="1:8">
      <c r="A73" s="21"/>
      <c r="B73" s="2"/>
      <c r="C73" s="2"/>
      <c r="H73" s="22"/>
    </row>
    <row r="74" s="3" customFormat="1" ht="14.25" spans="1:8">
      <c r="A74" s="21"/>
      <c r="B74" s="2"/>
      <c r="C74" s="2"/>
      <c r="H74" s="22"/>
    </row>
    <row r="75" s="3" customFormat="1" ht="14.25" spans="1:8">
      <c r="A75" s="21"/>
      <c r="B75" s="2"/>
      <c r="C75" s="2"/>
      <c r="H75" s="22"/>
    </row>
    <row r="76" s="3" customFormat="1" ht="14.25" spans="1:8">
      <c r="A76" s="21"/>
      <c r="B76" s="2"/>
      <c r="C76" s="2"/>
      <c r="H76" s="22"/>
    </row>
    <row r="77" s="3" customFormat="1" ht="14.25" spans="1:8">
      <c r="A77" s="21"/>
      <c r="B77" s="2"/>
      <c r="C77" s="2"/>
      <c r="H77" s="22"/>
    </row>
    <row r="78" s="3" customFormat="1" ht="14.25" spans="1:8">
      <c r="A78" s="21"/>
      <c r="B78" s="2"/>
      <c r="C78" s="2"/>
      <c r="H78" s="22"/>
    </row>
    <row r="79" s="3" customFormat="1" ht="14.25" spans="1:8">
      <c r="A79" s="21"/>
      <c r="B79" s="2"/>
      <c r="C79" s="2"/>
      <c r="H79" s="22"/>
    </row>
    <row r="80" s="3" customFormat="1" ht="14.25" spans="1:8">
      <c r="A80" s="21"/>
      <c r="B80" s="2"/>
      <c r="C80" s="2"/>
      <c r="H80" s="22"/>
    </row>
    <row r="81" s="3" customFormat="1" ht="14.25" spans="1:8">
      <c r="A81" s="21"/>
      <c r="B81" s="2"/>
      <c r="C81" s="2"/>
      <c r="H81" s="22"/>
    </row>
    <row r="82" s="3" customFormat="1" ht="14.25" spans="1:8">
      <c r="A82" s="21"/>
      <c r="B82" s="2"/>
      <c r="C82" s="2"/>
      <c r="H82" s="22"/>
    </row>
    <row r="83" s="3" customFormat="1" ht="14.25" spans="1:8">
      <c r="A83" s="21"/>
      <c r="B83" s="2"/>
      <c r="C83" s="2"/>
      <c r="H83" s="22"/>
    </row>
    <row r="84" s="3" customFormat="1" ht="14.25" spans="1:8">
      <c r="A84" s="21"/>
      <c r="B84" s="2"/>
      <c r="C84" s="2"/>
      <c r="H84" s="22"/>
    </row>
    <row r="85" s="3" customFormat="1" ht="14.25" spans="1:8">
      <c r="A85" s="21"/>
      <c r="B85" s="2"/>
      <c r="C85" s="2"/>
      <c r="H85" s="22"/>
    </row>
    <row r="86" s="3" customFormat="1" ht="14.25" spans="1:8">
      <c r="A86" s="21"/>
      <c r="B86" s="2"/>
      <c r="C86" s="2"/>
      <c r="H86" s="22"/>
    </row>
    <row r="87" s="3" customFormat="1" ht="14.25" spans="1:8">
      <c r="A87" s="21"/>
      <c r="B87" s="2"/>
      <c r="C87" s="2"/>
      <c r="H87" s="22"/>
    </row>
  </sheetData>
  <mergeCells count="74">
    <mergeCell ref="A2:I2"/>
    <mergeCell ref="A4:A5"/>
    <mergeCell ref="A6:A7"/>
    <mergeCell ref="A8:A9"/>
    <mergeCell ref="A10:A13"/>
    <mergeCell ref="A14:A15"/>
    <mergeCell ref="A16:A17"/>
    <mergeCell ref="A18:A23"/>
    <mergeCell ref="A24:A25"/>
    <mergeCell ref="A26:A27"/>
    <mergeCell ref="A28:A31"/>
    <mergeCell ref="A32:A33"/>
    <mergeCell ref="A34:A37"/>
    <mergeCell ref="A38:A41"/>
    <mergeCell ref="A42:A51"/>
    <mergeCell ref="A52:A55"/>
    <mergeCell ref="A56:A61"/>
    <mergeCell ref="A62:A64"/>
    <mergeCell ref="B4:B5"/>
    <mergeCell ref="B6:B7"/>
    <mergeCell ref="B8:B9"/>
    <mergeCell ref="B10:B11"/>
    <mergeCell ref="B12:B13"/>
    <mergeCell ref="B14:B15"/>
    <mergeCell ref="B16:B17"/>
    <mergeCell ref="B18:B19"/>
    <mergeCell ref="B20:B21"/>
    <mergeCell ref="B22:B23"/>
    <mergeCell ref="B24:B25"/>
    <mergeCell ref="B26:B27"/>
    <mergeCell ref="B28:B29"/>
    <mergeCell ref="B30:B31"/>
    <mergeCell ref="B32:B33"/>
    <mergeCell ref="B34:B35"/>
    <mergeCell ref="B36:B37"/>
    <mergeCell ref="B38:B39"/>
    <mergeCell ref="B40:B41"/>
    <mergeCell ref="B42:B43"/>
    <mergeCell ref="B44:B45"/>
    <mergeCell ref="B46:B47"/>
    <mergeCell ref="B48:B49"/>
    <mergeCell ref="B50:B51"/>
    <mergeCell ref="B52:B55"/>
    <mergeCell ref="B56:B59"/>
    <mergeCell ref="B60:B61"/>
    <mergeCell ref="B62:B64"/>
    <mergeCell ref="C4:C5"/>
    <mergeCell ref="C6:C7"/>
    <mergeCell ref="C8:C9"/>
    <mergeCell ref="C10:C11"/>
    <mergeCell ref="C12:C13"/>
    <mergeCell ref="C14:C15"/>
    <mergeCell ref="C16:C17"/>
    <mergeCell ref="C18:C19"/>
    <mergeCell ref="C20:C21"/>
    <mergeCell ref="C22:C23"/>
    <mergeCell ref="C24:C25"/>
    <mergeCell ref="C26:C27"/>
    <mergeCell ref="C28:C29"/>
    <mergeCell ref="C30:C31"/>
    <mergeCell ref="C32:C33"/>
    <mergeCell ref="C34:C35"/>
    <mergeCell ref="C36:C37"/>
    <mergeCell ref="C38:C39"/>
    <mergeCell ref="C40:C41"/>
    <mergeCell ref="C42:C43"/>
    <mergeCell ref="C44:C45"/>
    <mergeCell ref="C46:C47"/>
    <mergeCell ref="C48:C49"/>
    <mergeCell ref="C50:C51"/>
    <mergeCell ref="C52:C55"/>
    <mergeCell ref="C56:C59"/>
    <mergeCell ref="C60:C61"/>
    <mergeCell ref="C62:C64"/>
  </mergeCells>
  <pageMargins left="0.700694444444445" right="0.700694444444445" top="0.751388888888889" bottom="0.751388888888889" header="0.298611111111111" footer="0.298611111111111"/>
  <pageSetup paperSize="9" scale="83" fitToHeight="0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macbook</cp:lastModifiedBy>
  <dcterms:created xsi:type="dcterms:W3CDTF">2022-08-01T08:34:00Z</dcterms:created>
  <dcterms:modified xsi:type="dcterms:W3CDTF">2022-08-01T08:45:38Z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5FB81ADD71994228BA05A0F0A917837E</vt:lpwstr>
  </property>
  <property fmtid="{D5CDD505-2E9C-101B-9397-08002B2CF9AE}" pid="3" name="KSOProductBuildVer">
    <vt:lpwstr>2052-11.1.0.11551</vt:lpwstr>
  </property>
</Properties>
</file>